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0138925-3E29-41CA-A237-9DA19D14A836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feb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7" l="1"/>
  <c r="E21" i="7"/>
  <c r="E18" i="7"/>
  <c r="E17" i="7"/>
  <c r="J9" i="7" l="1"/>
  <c r="Q9" i="7" s="1"/>
  <c r="R9" i="7" s="1"/>
  <c r="I10" i="7"/>
  <c r="K13" i="7"/>
  <c r="L10" i="7"/>
  <c r="M11" i="7"/>
  <c r="I12" i="7"/>
  <c r="L13" i="7"/>
  <c r="O10" i="7"/>
  <c r="O11" i="7"/>
  <c r="O12" i="7"/>
  <c r="O13" i="7"/>
  <c r="J12" i="7"/>
  <c r="K10" i="7"/>
  <c r="K12" i="7"/>
  <c r="L9" i="7"/>
  <c r="L12" i="7"/>
  <c r="M9" i="7"/>
  <c r="M12" i="7"/>
  <c r="M13" i="7"/>
  <c r="N9" i="7"/>
  <c r="N10" i="7"/>
  <c r="N11" i="7"/>
  <c r="N12" i="7"/>
  <c r="N13" i="7"/>
  <c r="O9" i="7"/>
  <c r="O14" i="7" s="1"/>
  <c r="P9" i="7"/>
  <c r="P10" i="7"/>
  <c r="P12" i="7"/>
  <c r="P13" i="7"/>
  <c r="I13" i="7"/>
  <c r="J13" i="7"/>
  <c r="Q13" i="7" s="1"/>
  <c r="R13" i="7" s="1"/>
  <c r="Q12" i="7"/>
  <c r="R12" i="7"/>
  <c r="I11" i="7"/>
  <c r="P11" i="7"/>
  <c r="K11" i="7"/>
  <c r="L11" i="7"/>
  <c r="M10" i="7"/>
  <c r="K9" i="7"/>
  <c r="J10" i="7"/>
  <c r="I9" i="7"/>
  <c r="J11" i="7"/>
  <c r="Q10" i="7"/>
  <c r="R10" i="7" s="1"/>
  <c r="Q11" i="7"/>
  <c r="R11" i="7" s="1"/>
  <c r="I8" i="7"/>
  <c r="Q8" i="7" s="1"/>
  <c r="D14" i="7"/>
  <c r="E14" i="7"/>
  <c r="H14" i="7"/>
  <c r="G14" i="7"/>
  <c r="F14" i="7"/>
  <c r="P8" i="7"/>
  <c r="O8" i="7"/>
  <c r="N8" i="7"/>
  <c r="N14" i="7" s="1"/>
  <c r="M8" i="7"/>
  <c r="L8" i="7"/>
  <c r="L14" i="7"/>
  <c r="C18" i="7" s="1"/>
  <c r="K8" i="7"/>
  <c r="K14" i="7" s="1"/>
  <c r="J8" i="7"/>
  <c r="P14" i="7"/>
  <c r="M14" i="7"/>
  <c r="C21" i="7" l="1"/>
  <c r="Q14" i="7"/>
  <c r="R8" i="7"/>
  <c r="C23" i="7"/>
  <c r="J14" i="7"/>
  <c r="I14" i="7"/>
  <c r="C17" i="7" l="1"/>
  <c r="C19" i="7" s="1"/>
  <c r="E19" i="7"/>
  <c r="C25" i="7"/>
</calcChain>
</file>

<file path=xl/sharedStrings.xml><?xml version="1.0" encoding="utf-8"?>
<sst xmlns="http://schemas.openxmlformats.org/spreadsheetml/2006/main" count="32" uniqueCount="31">
  <si>
    <t>Nº Recibo</t>
  </si>
  <si>
    <t>Concepto</t>
  </si>
  <si>
    <t>Servicios IT 3%</t>
  </si>
  <si>
    <t>Servicios IUE 12.5%</t>
  </si>
  <si>
    <t>Bienes IUE 5%</t>
  </si>
  <si>
    <t>Bienes IT 3%</t>
  </si>
  <si>
    <t>Viáticos Retenc RC IVA</t>
  </si>
  <si>
    <t>Alquileres RC-IVA 13%</t>
  </si>
  <si>
    <t>Alquileres IT 3%</t>
  </si>
  <si>
    <t>Servicios</t>
  </si>
  <si>
    <t>Adquisiciones</t>
  </si>
  <si>
    <t>Form. 570</t>
  </si>
  <si>
    <t>Form. 410</t>
  </si>
  <si>
    <t>Form. 604</t>
  </si>
  <si>
    <t>SERVICIOS</t>
  </si>
  <si>
    <t>BIENES</t>
  </si>
  <si>
    <t>VIÁTICOS</t>
  </si>
  <si>
    <t>ALQUILERES</t>
  </si>
  <si>
    <t>Form. 570, TOTAL</t>
  </si>
  <si>
    <t>PAGO EN EFECTIVO</t>
  </si>
  <si>
    <t>Fecha</t>
  </si>
  <si>
    <t>(Expresado en Bolivianos)</t>
  </si>
  <si>
    <t>RETENCIONES POR COMPRAS LOCALES SIN FACTURA</t>
  </si>
  <si>
    <t>IUE Ret. por pagar</t>
  </si>
  <si>
    <t>IT Ret. por pagar</t>
  </si>
  <si>
    <t>RC-IVA Ret. por pagar</t>
  </si>
  <si>
    <t>Pago neto a proveedor</t>
  </si>
  <si>
    <t>Columna1</t>
  </si>
  <si>
    <t>PRUEBA</t>
  </si>
  <si>
    <t>IUE</t>
  </si>
  <si>
    <t xml:space="preserve">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</si>
</sst>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b&quot;\ 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theme="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FFF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1" fontId="0" fillId="0" borderId="0" xfId="0" applyNumberFormat="1"/>
    <xf numFmtId="165" fontId="0" fillId="0" borderId="0" xfId="0" applyNumberFormat="1"/>
    <xf numFmtId="1" fontId="0" fillId="3" borderId="1" xfId="0" applyNumberFormat="1" applyFill="1" applyBorder="1"/>
    <xf numFmtId="1" fontId="4" fillId="0" borderId="0" xfId="0" applyNumberFormat="1" applyFont="1"/>
    <xf numFmtId="43" fontId="7" fillId="0" borderId="0" xfId="0" applyNumberFormat="1" applyFont="1" applyBorder="1"/>
    <xf numFmtId="0" fontId="0" fillId="0" borderId="0" xfId="0" applyAlignment="1">
      <alignment horizontal="center"/>
    </xf>
    <xf numFmtId="14" fontId="0" fillId="0" borderId="2" xfId="0" applyNumberFormat="1" applyBorder="1"/>
    <xf numFmtId="43" fontId="0" fillId="0" borderId="2" xfId="1" applyNumberFormat="1" applyFont="1" applyBorder="1"/>
    <xf numFmtId="0" fontId="7" fillId="0" borderId="0" xfId="0" applyFont="1" applyBorder="1"/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top" wrapText="1"/>
    </xf>
    <xf numFmtId="43" fontId="0" fillId="0" borderId="2" xfId="1" applyFont="1" applyFill="1" applyBorder="1"/>
    <xf numFmtId="164" fontId="8" fillId="2" borderId="6" xfId="0" applyNumberFormat="1" applyFont="1" applyFill="1" applyBorder="1" applyAlignment="1">
      <alignment horizontal="center" vertical="top" wrapText="1"/>
    </xf>
    <xf numFmtId="43" fontId="0" fillId="5" borderId="2" xfId="1" applyFont="1" applyFill="1" applyBorder="1"/>
    <xf numFmtId="1" fontId="0" fillId="3" borderId="0" xfId="0" applyNumberFormat="1" applyFill="1" applyBorder="1"/>
    <xf numFmtId="0" fontId="0" fillId="0" borderId="2" xfId="0" applyBorder="1" applyAlignment="1">
      <alignment horizontal="right"/>
    </xf>
    <xf numFmtId="43" fontId="0" fillId="0" borderId="7" xfId="1" applyNumberFormat="1" applyFont="1" applyFill="1" applyBorder="1"/>
    <xf numFmtId="0" fontId="0" fillId="0" borderId="2" xfId="0" applyFill="1" applyBorder="1"/>
    <xf numFmtId="43" fontId="0" fillId="0" borderId="2" xfId="1" applyNumberFormat="1" applyFont="1" applyFill="1" applyBorder="1"/>
    <xf numFmtId="43" fontId="0" fillId="0" borderId="0" xfId="1" applyFont="1" applyFill="1" applyBorder="1"/>
    <xf numFmtId="164" fontId="8" fillId="2" borderId="8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43" fontId="0" fillId="0" borderId="0" xfId="1" applyNumberFormat="1" applyFont="1" applyFill="1" applyBorder="1"/>
    <xf numFmtId="164" fontId="2" fillId="4" borderId="3" xfId="0" applyNumberFormat="1" applyFont="1" applyFill="1" applyBorder="1" applyAlignment="1">
      <alignment horizontal="center" vertical="top" wrapText="1"/>
    </xf>
    <xf numFmtId="14" fontId="0" fillId="0" borderId="2" xfId="0" applyNumberFormat="1" applyFill="1" applyBorder="1"/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/>
  </cellXfs>
  <cellStyles count="2">
    <cellStyle name="Millares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5" formatCode="_(* #,##0.00_);_(* \(#,##0.00\);_(* &quot;-&quot;??_);_(@_)"/>
      <fill>
        <patternFill patternType="none">
          <fgColor rgb="FF000000"/>
          <bgColor auto="1"/>
        </patternFill>
      </fill>
    </dxf>
    <dxf>
      <numFmt numFmtId="35" formatCode="_(* #,##0.00_);_(* \(#,##0.00\);_(* &quot;-&quot;??_);_(@_)"/>
      <fill>
        <patternFill patternType="none">
          <fgColor rgb="FF000000"/>
          <bgColor indexed="65"/>
        </patternFill>
      </fill>
      <border diagonalUp="0" diagonalDown="0">
        <left/>
        <right style="medium">
          <color indexed="64"/>
        </right>
        <top/>
        <bottom/>
      </border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indexed="64"/>
        </left>
        <right/>
        <top/>
        <bottom/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FFFFFF"/>
        </right>
      </border>
    </dxf>
    <dxf>
      <fill>
        <patternFill patternType="none">
          <fgColor rgb="FF000000"/>
          <bgColor auto="1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b&quot;\ #,##0.00"/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22456" displayName="Tabla22456" ref="A7:R14" totalsRowCount="1" headerRowDxfId="39" dataDxfId="37" headerRowBorderDxfId="38" tableBorderDxfId="36">
  <autoFilter ref="A7:R13" xr:uid="{00000000-0009-0000-0100-000005000000}"/>
  <tableColumns count="18">
    <tableColumn id="17" xr3:uid="{00000000-0010-0000-0000-000011000000}" name="Fecha" dataDxfId="35" totalsRowDxfId="17"/>
    <tableColumn id="1" xr3:uid="{00000000-0010-0000-0000-000001000000}" name="Concepto" dataDxfId="34" totalsRowDxfId="16"/>
    <tableColumn id="3" xr3:uid="{00000000-0010-0000-0000-000003000000}" name="Nº Recibo" dataDxfId="33" totalsRowDxfId="15"/>
    <tableColumn id="18" xr3:uid="{00000000-0010-0000-0000-000012000000}" name="Columna1" totalsRowFunction="sum" dataDxfId="32" totalsRowDxfId="14"/>
    <tableColumn id="13" xr3:uid="{00000000-0010-0000-0000-00000D000000}" name="SERVICIOS" totalsRowFunction="sum" dataDxfId="31" totalsRowDxfId="13" dataCellStyle="Millares">
      <calculatedColumnFormula>+(Tabla22456[[#This Row],[Columna1]]*100)/84.5</calculatedColumnFormula>
    </tableColumn>
    <tableColumn id="4" xr3:uid="{00000000-0010-0000-0000-000004000000}" name="BIENES" totalsRowFunction="sum" dataDxfId="30" totalsRowDxfId="12" dataCellStyle="Millares">
      <calculatedColumnFormula>+(Tabla22456[[#This Row],[Columna1]]*100)/92</calculatedColumnFormula>
    </tableColumn>
    <tableColumn id="15" xr3:uid="{00000000-0010-0000-0000-00000F000000}" name="VIÁTICOS" totalsRowFunction="sum" dataDxfId="29" totalsRowDxfId="11" dataCellStyle="Millares"/>
    <tableColumn id="16" xr3:uid="{00000000-0010-0000-0000-000010000000}" name="ALQUILERES" totalsRowFunction="sum" dataDxfId="28" totalsRowDxfId="10" dataCellStyle="Millares">
      <calculatedColumnFormula>+(Tabla22456[[#This Row],[Columna1]]*100)/84.5</calculatedColumnFormula>
    </tableColumn>
    <tableColumn id="14" xr3:uid="{00000000-0010-0000-0000-00000E000000}" name="PAGO EN EFECTIVO" totalsRowFunction="sum" dataDxfId="27" totalsRowDxfId="9" dataCellStyle="Millares">
      <calculatedColumnFormula>+Tabla22456[[#This Row],[SERVICIOS]]+Tabla22456[[#This Row],[BIENES]]+Tabla22456[[#This Row],[VIÁTICOS]]+Tabla22456[[#This Row],[ALQUILERES]]</calculatedColumnFormula>
    </tableColumn>
    <tableColumn id="5" xr3:uid="{00000000-0010-0000-0000-000005000000}" name="Servicios IUE 12.5%" totalsRowFunction="sum" dataDxfId="26" totalsRowDxfId="8" dataCellStyle="Millares">
      <calculatedColumnFormula>+Tabla22456[[#This Row],[SERVICIOS]]*0.125-0.00016</calculatedColumnFormula>
    </tableColumn>
    <tableColumn id="6" xr3:uid="{00000000-0010-0000-0000-000006000000}" name="Servicios IT 3%" totalsRowFunction="sum" dataDxfId="25" totalsRowDxfId="7" dataCellStyle="Millares">
      <calculatedColumnFormula>+Tabla22456[[#This Row],[SERVICIOS]]*0.03</calculatedColumnFormula>
    </tableColumn>
    <tableColumn id="7" xr3:uid="{00000000-0010-0000-0000-000007000000}" name="Bienes IUE 5%" totalsRowFunction="sum" dataDxfId="24" totalsRowDxfId="6" dataCellStyle="Millares">
      <calculatedColumnFormula>+Tabla22456[[#This Row],[BIENES]]*0.05</calculatedColumnFormula>
    </tableColumn>
    <tableColumn id="8" xr3:uid="{00000000-0010-0000-0000-000008000000}" name="Bienes IT 3%" totalsRowFunction="sum" dataDxfId="23" totalsRowDxfId="5" dataCellStyle="Millares">
      <calculatedColumnFormula>+Tabla22456[[#This Row],[BIENES]]*0.03</calculatedColumnFormula>
    </tableColumn>
    <tableColumn id="9" xr3:uid="{00000000-0010-0000-0000-000009000000}" name="Viáticos Retenc RC IVA" totalsRowFunction="sum" dataDxfId="22" totalsRowDxfId="4" dataCellStyle="Millares">
      <calculatedColumnFormula>+Tabla22456[[#This Row],[VIÁTICOS]]*0.13</calculatedColumnFormula>
    </tableColumn>
    <tableColumn id="10" xr3:uid="{00000000-0010-0000-0000-00000A000000}" name="Alquileres RC-IVA 13%" totalsRowFunction="sum" dataDxfId="21" totalsRowDxfId="3" dataCellStyle="Millares">
      <calculatedColumnFormula>+Tabla22456[[#This Row],[ALQUILERES]]*0.13</calculatedColumnFormula>
    </tableColumn>
    <tableColumn id="11" xr3:uid="{00000000-0010-0000-0000-00000B000000}" name="Alquileres IT 3%" totalsRowFunction="sum" dataDxfId="20" totalsRowDxfId="2" dataCellStyle="Millares">
      <calculatedColumnFormula>+Tabla22456[[#This Row],[ALQUILERES]]*0.03</calculatedColumnFormula>
    </tableColumn>
    <tableColumn id="12" xr3:uid="{00000000-0010-0000-0000-00000C000000}" name="Pago neto a proveedor" totalsRowFunction="sum" dataDxfId="19" totalsRowDxfId="1" dataCellStyle="Millares">
      <calculatedColumnFormula>+Tabla22456[[#This Row],[PAGO EN EFECTIVO]]-Tabla22456[[#This Row],[Servicios IUE 12.5%]]-Tabla22456[[#This Row],[Servicios IT 3%]]-Tabla22456[[#This Row],[Bienes IUE 5%]]-Tabla22456[[#This Row],[Bienes IT 3%]]</calculatedColumnFormula>
    </tableColumn>
    <tableColumn id="2" xr3:uid="{00000000-0010-0000-0000-000002000000}" name="PRUEBA" dataDxfId="18" totalsRowDxfId="0" dataCellStyle="Millares">
      <calculatedColumnFormula>+Tabla22456[[#This Row],[Pago neto a proveedor]]-Tabla22456[[#This Row],[Columna1]]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25"/>
  <sheetViews>
    <sheetView tabSelected="1" zoomScale="85" zoomScaleNormal="85" workbookViewId="0">
      <selection activeCell="Q4" sqref="Q4"/>
    </sheetView>
  </sheetViews>
  <sheetFormatPr baseColWidth="10" defaultColWidth="10.7109375" defaultRowHeight="15" x14ac:dyDescent="0.25"/>
  <cols>
    <col min="1" max="1" width="10.7109375" customWidth="1"/>
    <col min="2" max="2" width="76.42578125" customWidth="1"/>
    <col min="3" max="4" width="13.140625" hidden="1" customWidth="1"/>
    <col min="5" max="5" width="11.7109375" customWidth="1"/>
    <col min="6" max="6" width="11.5703125" customWidth="1"/>
    <col min="7" max="7" width="11.7109375" customWidth="1"/>
    <col min="8" max="8" width="11.85546875" customWidth="1"/>
    <col min="9" max="9" width="12.7109375" customWidth="1"/>
    <col min="10" max="10" width="10.5703125" customWidth="1"/>
    <col min="11" max="11" width="12.5703125" customWidth="1"/>
    <col min="12" max="12" width="9.7109375" customWidth="1"/>
    <col min="13" max="13" width="12.42578125" customWidth="1"/>
    <col min="14" max="15" width="9.85546875" customWidth="1"/>
    <col min="16" max="16" width="12.42578125" customWidth="1"/>
    <col min="17" max="17" width="12" customWidth="1"/>
    <col min="18" max="18" width="8.7109375" customWidth="1"/>
    <col min="19" max="22" width="12" customWidth="1"/>
    <col min="23" max="112" width="13" customWidth="1"/>
    <col min="113" max="1012" width="14" customWidth="1"/>
    <col min="1013" max="10012" width="15" customWidth="1"/>
    <col min="10013" max="16384" width="16" customWidth="1"/>
  </cols>
  <sheetData>
    <row r="1" spans="1:18" s="1" customFormat="1" x14ac:dyDescent="0.25"/>
    <row r="2" spans="1:18" s="1" customFormat="1" x14ac:dyDescent="0.25"/>
    <row r="3" spans="1:18" s="1" customFormat="1" ht="46.5" x14ac:dyDescent="0.7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8" s="1" customFormat="1" ht="15.75" x14ac:dyDescent="0.25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">
        <v>2019</v>
      </c>
    </row>
    <row r="5" spans="1:18" s="1" customFormat="1" x14ac:dyDescent="0.2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8" s="1" customFormat="1" ht="15.75" thickBot="1" x14ac:dyDescent="0.3"/>
    <row r="7" spans="1:18" s="1" customFormat="1" ht="73.900000000000006" customHeight="1" thickBot="1" x14ac:dyDescent="0.3">
      <c r="A7" s="28" t="s">
        <v>20</v>
      </c>
      <c r="B7" s="13" t="s">
        <v>1</v>
      </c>
      <c r="C7" s="13" t="s">
        <v>0</v>
      </c>
      <c r="D7" s="13" t="s">
        <v>27</v>
      </c>
      <c r="E7" s="13" t="s">
        <v>14</v>
      </c>
      <c r="F7" s="13" t="s">
        <v>15</v>
      </c>
      <c r="G7" s="13" t="s">
        <v>16</v>
      </c>
      <c r="H7" s="14" t="s">
        <v>17</v>
      </c>
      <c r="I7" s="11" t="s">
        <v>19</v>
      </c>
      <c r="J7" s="12" t="s">
        <v>3</v>
      </c>
      <c r="K7" s="12" t="s">
        <v>2</v>
      </c>
      <c r="L7" s="12" t="s">
        <v>4</v>
      </c>
      <c r="M7" s="12" t="s">
        <v>5</v>
      </c>
      <c r="N7" s="12" t="s">
        <v>6</v>
      </c>
      <c r="O7" s="12" t="s">
        <v>7</v>
      </c>
      <c r="P7" s="12" t="s">
        <v>8</v>
      </c>
      <c r="Q7" s="16" t="s">
        <v>26</v>
      </c>
      <c r="R7" s="24" t="s">
        <v>28</v>
      </c>
    </row>
    <row r="8" spans="1:18" s="1" customFormat="1" ht="15.75" thickTop="1" x14ac:dyDescent="0.25">
      <c r="A8" s="8"/>
      <c r="B8" s="25"/>
      <c r="C8" s="21"/>
      <c r="D8" s="19"/>
      <c r="E8" s="9">
        <v>100</v>
      </c>
      <c r="F8" s="15"/>
      <c r="G8" s="15"/>
      <c r="H8" s="15"/>
      <c r="I8" s="17">
        <f>+Tabla22456[[#This Row],[SERVICIOS]]+Tabla22456[[#This Row],[BIENES]]+Tabla22456[[#This Row],[VIÁTICOS]]+Tabla22456[[#This Row],[ALQUILERES]]</f>
        <v>100</v>
      </c>
      <c r="J8" s="17">
        <f>+Tabla22456[[#This Row],[SERVICIOS]]*0.125-0.00016</f>
        <v>12.499840000000001</v>
      </c>
      <c r="K8" s="17">
        <f>+Tabla22456[[#This Row],[SERVICIOS]]*0.03</f>
        <v>3</v>
      </c>
      <c r="L8" s="17">
        <f>+Tabla22456[[#This Row],[BIENES]]*0.05</f>
        <v>0</v>
      </c>
      <c r="M8" s="17">
        <f>+Tabla22456[[#This Row],[BIENES]]*0.03</f>
        <v>0</v>
      </c>
      <c r="N8" s="17">
        <f>+Tabla22456[[#This Row],[VIÁTICOS]]*0.13</f>
        <v>0</v>
      </c>
      <c r="O8" s="17">
        <f>+Tabla22456[[#This Row],[ALQUILERES]]*0.13</f>
        <v>0</v>
      </c>
      <c r="P8" s="17">
        <f>+Tabla22456[[#This Row],[ALQUILERES]]*0.03</f>
        <v>0</v>
      </c>
      <c r="Q8" s="15">
        <f>+Tabla22456[[#This Row],[PAGO EN EFECTIVO]]-Tabla22456[[#This Row],[Servicios IUE 12.5%]]-Tabla22456[[#This Row],[Servicios IT 3%]]-Tabla22456[[#This Row],[Bienes IUE 5%]]-Tabla22456[[#This Row],[Bienes IT 3%]]</f>
        <v>84.500159999999994</v>
      </c>
      <c r="R8" s="23">
        <f>+Tabla22456[[#This Row],[Pago neto a proveedor]]-Tabla22456[[#This Row],[Columna1]]</f>
        <v>84.500159999999994</v>
      </c>
    </row>
    <row r="9" spans="1:18" s="1" customFormat="1" x14ac:dyDescent="0.25">
      <c r="A9" s="29"/>
      <c r="B9" s="25"/>
      <c r="C9" s="21"/>
      <c r="D9" s="26"/>
      <c r="E9" s="22">
        <v>29.58</v>
      </c>
      <c r="F9" s="22">
        <v>0</v>
      </c>
      <c r="G9" s="15"/>
      <c r="H9" s="22">
        <v>0</v>
      </c>
      <c r="I9" s="17">
        <f>+Tabla22456[[#This Row],[SERVICIOS]]+Tabla22456[[#This Row],[BIENES]]+Tabla22456[[#This Row],[VIÁTICOS]]+Tabla22456[[#This Row],[ALQUILERES]]</f>
        <v>29.58</v>
      </c>
      <c r="J9" s="17">
        <f>+Tabla22456[[#This Row],[SERVICIOS]]*0.125-0.00016</f>
        <v>3.6973399999999996</v>
      </c>
      <c r="K9" s="17">
        <f>+Tabla22456[[#This Row],[SERVICIOS]]*0.03</f>
        <v>0.88739999999999997</v>
      </c>
      <c r="L9" s="17">
        <f>+Tabla22456[[#This Row],[BIENES]]*0.05</f>
        <v>0</v>
      </c>
      <c r="M9" s="17">
        <f>+Tabla22456[[#This Row],[BIENES]]*0.03</f>
        <v>0</v>
      </c>
      <c r="N9" s="17">
        <f>+Tabla22456[[#This Row],[VIÁTICOS]]*0.13</f>
        <v>0</v>
      </c>
      <c r="O9" s="17">
        <f>+Tabla22456[[#This Row],[ALQUILERES]]*0.13</f>
        <v>0</v>
      </c>
      <c r="P9" s="17">
        <f>+Tabla22456[[#This Row],[ALQUILERES]]*0.03</f>
        <v>0</v>
      </c>
      <c r="Q9" s="20">
        <f>+Tabla22456[[#This Row],[PAGO EN EFECTIVO]]-Tabla22456[[#This Row],[Servicios IUE 12.5%]]-Tabla22456[[#This Row],[Servicios IT 3%]]-Tabla22456[[#This Row],[Bienes IUE 5%]]-Tabla22456[[#This Row],[Bienes IT 3%]]</f>
        <v>24.995259999999998</v>
      </c>
      <c r="R9" s="27">
        <f>+Tabla22456[[#This Row],[Pago neto a proveedor]]-Tabla22456[[#This Row],[Columna1]]</f>
        <v>24.995259999999998</v>
      </c>
    </row>
    <row r="10" spans="1:18" s="1" customFormat="1" x14ac:dyDescent="0.25">
      <c r="A10" s="29"/>
      <c r="B10" s="25"/>
      <c r="C10" s="21"/>
      <c r="D10" s="26"/>
      <c r="E10" s="22">
        <v>23.67</v>
      </c>
      <c r="F10" s="22">
        <v>0</v>
      </c>
      <c r="G10" s="15"/>
      <c r="H10" s="22">
        <v>0</v>
      </c>
      <c r="I10" s="17">
        <f>+Tabla22456[[#This Row],[SERVICIOS]]+Tabla22456[[#This Row],[BIENES]]+Tabla22456[[#This Row],[VIÁTICOS]]+Tabla22456[[#This Row],[ALQUILERES]]</f>
        <v>23.67</v>
      </c>
      <c r="J10" s="17">
        <f>+Tabla22456[[#This Row],[SERVICIOS]]*0.125-0.00016</f>
        <v>2.9585900000000001</v>
      </c>
      <c r="K10" s="17">
        <f>+Tabla22456[[#This Row],[SERVICIOS]]*0.03</f>
        <v>0.71010000000000006</v>
      </c>
      <c r="L10" s="17">
        <f>+Tabla22456[[#This Row],[BIENES]]*0.05</f>
        <v>0</v>
      </c>
      <c r="M10" s="17">
        <f>+Tabla22456[[#This Row],[BIENES]]*0.03</f>
        <v>0</v>
      </c>
      <c r="N10" s="17">
        <f>+Tabla22456[[#This Row],[VIÁTICOS]]*0.13</f>
        <v>0</v>
      </c>
      <c r="O10" s="17">
        <f>+Tabla22456[[#This Row],[ALQUILERES]]*0.13</f>
        <v>0</v>
      </c>
      <c r="P10" s="17">
        <f>+Tabla22456[[#This Row],[ALQUILERES]]*0.03</f>
        <v>0</v>
      </c>
      <c r="Q10" s="20">
        <f>+Tabla22456[[#This Row],[PAGO EN EFECTIVO]]-Tabla22456[[#This Row],[Servicios IUE 12.5%]]-Tabla22456[[#This Row],[Servicios IT 3%]]-Tabla22456[[#This Row],[Bienes IUE 5%]]-Tabla22456[[#This Row],[Bienes IT 3%]]</f>
        <v>20.00131</v>
      </c>
      <c r="R10" s="27">
        <f>+Tabla22456[[#This Row],[Pago neto a proveedor]]-Tabla22456[[#This Row],[Columna1]]</f>
        <v>20.00131</v>
      </c>
    </row>
    <row r="11" spans="1:18" s="1" customFormat="1" x14ac:dyDescent="0.25">
      <c r="A11" s="29"/>
      <c r="B11" s="25"/>
      <c r="C11" s="21"/>
      <c r="D11" s="26"/>
      <c r="E11" s="22">
        <v>41.42</v>
      </c>
      <c r="F11" s="22">
        <v>0</v>
      </c>
      <c r="G11" s="15"/>
      <c r="H11" s="22">
        <v>0</v>
      </c>
      <c r="I11" s="17">
        <f>+Tabla22456[[#This Row],[SERVICIOS]]+Tabla22456[[#This Row],[BIENES]]+Tabla22456[[#This Row],[VIÁTICOS]]+Tabla22456[[#This Row],[ALQUILERES]]</f>
        <v>41.42</v>
      </c>
      <c r="J11" s="17">
        <f>+Tabla22456[[#This Row],[SERVICIOS]]*0.125-0.00016</f>
        <v>5.1773400000000001</v>
      </c>
      <c r="K11" s="17">
        <f>+Tabla22456[[#This Row],[SERVICIOS]]*0.03</f>
        <v>1.2425999999999999</v>
      </c>
      <c r="L11" s="17">
        <f>+Tabla22456[[#This Row],[BIENES]]*0.05</f>
        <v>0</v>
      </c>
      <c r="M11" s="17">
        <f>+Tabla22456[[#This Row],[BIENES]]*0.03</f>
        <v>0</v>
      </c>
      <c r="N11" s="17">
        <f>+Tabla22456[[#This Row],[VIÁTICOS]]*0.13</f>
        <v>0</v>
      </c>
      <c r="O11" s="17">
        <f>+Tabla22456[[#This Row],[ALQUILERES]]*0.13</f>
        <v>0</v>
      </c>
      <c r="P11" s="17">
        <f>+Tabla22456[[#This Row],[ALQUILERES]]*0.03</f>
        <v>0</v>
      </c>
      <c r="Q11" s="20">
        <f>+Tabla22456[[#This Row],[PAGO EN EFECTIVO]]-Tabla22456[[#This Row],[Servicios IUE 12.5%]]-Tabla22456[[#This Row],[Servicios IT 3%]]-Tabla22456[[#This Row],[Bienes IUE 5%]]-Tabla22456[[#This Row],[Bienes IT 3%]]</f>
        <v>35.000059999999998</v>
      </c>
      <c r="R11" s="27">
        <f>+Tabla22456[[#This Row],[Pago neto a proveedor]]-Tabla22456[[#This Row],[Columna1]]</f>
        <v>35.000059999999998</v>
      </c>
    </row>
    <row r="12" spans="1:18" s="1" customFormat="1" x14ac:dyDescent="0.25">
      <c r="A12" s="29"/>
      <c r="B12" s="25"/>
      <c r="C12" s="21"/>
      <c r="D12" s="26"/>
      <c r="E12" s="22">
        <v>14.2</v>
      </c>
      <c r="F12" s="22">
        <v>0</v>
      </c>
      <c r="G12" s="15"/>
      <c r="H12" s="22">
        <v>0</v>
      </c>
      <c r="I12" s="17">
        <f>+Tabla22456[[#This Row],[SERVICIOS]]+Tabla22456[[#This Row],[BIENES]]+Tabla22456[[#This Row],[VIÁTICOS]]+Tabla22456[[#This Row],[ALQUILERES]]</f>
        <v>14.2</v>
      </c>
      <c r="J12" s="17">
        <f>+Tabla22456[[#This Row],[SERVICIOS]]*0.125-0.00016</f>
        <v>1.77484</v>
      </c>
      <c r="K12" s="17">
        <f>+Tabla22456[[#This Row],[SERVICIOS]]*0.03</f>
        <v>0.42599999999999999</v>
      </c>
      <c r="L12" s="17">
        <f>+Tabla22456[[#This Row],[BIENES]]*0.05</f>
        <v>0</v>
      </c>
      <c r="M12" s="17">
        <f>+Tabla22456[[#This Row],[BIENES]]*0.03</f>
        <v>0</v>
      </c>
      <c r="N12" s="17">
        <f>+Tabla22456[[#This Row],[VIÁTICOS]]*0.13</f>
        <v>0</v>
      </c>
      <c r="O12" s="17">
        <f>+Tabla22456[[#This Row],[ALQUILERES]]*0.13</f>
        <v>0</v>
      </c>
      <c r="P12" s="17">
        <f>+Tabla22456[[#This Row],[ALQUILERES]]*0.03</f>
        <v>0</v>
      </c>
      <c r="Q12" s="20">
        <f>+Tabla22456[[#This Row],[PAGO EN EFECTIVO]]-Tabla22456[[#This Row],[Servicios IUE 12.5%]]-Tabla22456[[#This Row],[Servicios IT 3%]]-Tabla22456[[#This Row],[Bienes IUE 5%]]-Tabla22456[[#This Row],[Bienes IT 3%]]</f>
        <v>11.99916</v>
      </c>
      <c r="R12" s="27">
        <f>+Tabla22456[[#This Row],[Pago neto a proveedor]]-Tabla22456[[#This Row],[Columna1]]</f>
        <v>11.99916</v>
      </c>
    </row>
    <row r="13" spans="1:18" s="1" customFormat="1" x14ac:dyDescent="0.25">
      <c r="A13" s="29"/>
      <c r="B13" s="25"/>
      <c r="C13" s="21"/>
      <c r="D13" s="26"/>
      <c r="E13" s="22">
        <v>23.67</v>
      </c>
      <c r="F13" s="22">
        <v>0</v>
      </c>
      <c r="G13" s="15"/>
      <c r="H13" s="22">
        <v>0</v>
      </c>
      <c r="I13" s="17">
        <f>+Tabla22456[[#This Row],[SERVICIOS]]+Tabla22456[[#This Row],[BIENES]]+Tabla22456[[#This Row],[VIÁTICOS]]+Tabla22456[[#This Row],[ALQUILERES]]</f>
        <v>23.67</v>
      </c>
      <c r="J13" s="17">
        <f>+Tabla22456[[#This Row],[SERVICIOS]]*0.125-0.00016</f>
        <v>2.9585900000000001</v>
      </c>
      <c r="K13" s="17">
        <f>+Tabla22456[[#This Row],[SERVICIOS]]*0.03</f>
        <v>0.71010000000000006</v>
      </c>
      <c r="L13" s="17">
        <f>+Tabla22456[[#This Row],[BIENES]]*0.05</f>
        <v>0</v>
      </c>
      <c r="M13" s="17">
        <f>+Tabla22456[[#This Row],[BIENES]]*0.03</f>
        <v>0</v>
      </c>
      <c r="N13" s="17">
        <f>+Tabla22456[[#This Row],[VIÁTICOS]]*0.13</f>
        <v>0</v>
      </c>
      <c r="O13" s="17">
        <f>+Tabla22456[[#This Row],[ALQUILERES]]*0.13</f>
        <v>0</v>
      </c>
      <c r="P13" s="17">
        <f>+Tabla22456[[#This Row],[ALQUILERES]]*0.03</f>
        <v>0</v>
      </c>
      <c r="Q13" s="20">
        <f>+Tabla22456[[#This Row],[PAGO EN EFECTIVO]]-Tabla22456[[#This Row],[Servicios IUE 12.5%]]-Tabla22456[[#This Row],[Servicios IT 3%]]-Tabla22456[[#This Row],[Bienes IUE 5%]]-Tabla22456[[#This Row],[Bienes IT 3%]]</f>
        <v>20.00131</v>
      </c>
      <c r="R13" s="27">
        <f>+Tabla22456[[#This Row],[Pago neto a proveedor]]-Tabla22456[[#This Row],[Columna1]]</f>
        <v>20.00131</v>
      </c>
    </row>
    <row r="14" spans="1:18" s="1" customFormat="1" x14ac:dyDescent="0.25">
      <c r="D14" s="1">
        <f>SUBTOTAL(109,Tabla22456[Columna1])</f>
        <v>0</v>
      </c>
      <c r="E14" s="6">
        <f>SUBTOTAL(109,Tabla22456[SERVICIOS])</f>
        <v>232.54000000000002</v>
      </c>
      <c r="F14" s="6">
        <f>SUBTOTAL(109,Tabla22456[BIENES])</f>
        <v>0</v>
      </c>
      <c r="G14" s="6">
        <f>SUBTOTAL(109,Tabla22456[VIÁTICOS])</f>
        <v>0</v>
      </c>
      <c r="H14" s="6">
        <f>SUBTOTAL(109,Tabla22456[ALQUILERES])</f>
        <v>0</v>
      </c>
      <c r="I14" s="6">
        <f>SUBTOTAL(109,Tabla22456[PAGO EN EFECTIVO])</f>
        <v>232.54000000000002</v>
      </c>
      <c r="J14" s="6">
        <f>SUBTOTAL(109,Tabla22456[Servicios IUE 12.5%])</f>
        <v>29.066540000000003</v>
      </c>
      <c r="K14" s="6">
        <f>SUBTOTAL(109,Tabla22456[Servicios IT 3%])</f>
        <v>6.9761999999999995</v>
      </c>
      <c r="L14" s="6">
        <f>SUBTOTAL(109,Tabla22456[Bienes IUE 5%])</f>
        <v>0</v>
      </c>
      <c r="M14" s="6">
        <f>SUBTOTAL(109,Tabla22456[Bienes IT 3%])</f>
        <v>0</v>
      </c>
      <c r="N14" s="6">
        <f>SUBTOTAL(109,Tabla22456[Viáticos Retenc RC IVA])</f>
        <v>0</v>
      </c>
      <c r="O14" s="6">
        <f>SUBTOTAL(109,Tabla22456[Alquileres RC-IVA 13%])</f>
        <v>0</v>
      </c>
      <c r="P14" s="6">
        <f>SUBTOTAL(109,Tabla22456[Alquileres IT 3%])</f>
        <v>0</v>
      </c>
      <c r="Q14" s="10">
        <f>SUBTOTAL(109,Tabla22456[Pago neto a proveedor])</f>
        <v>196.49725999999995</v>
      </c>
      <c r="R14" s="10"/>
    </row>
    <row r="15" spans="1:18" s="1" customFormat="1" x14ac:dyDescent="0.25"/>
    <row r="17" spans="2:11" x14ac:dyDescent="0.25">
      <c r="B17" s="7" t="s">
        <v>9</v>
      </c>
      <c r="C17" s="2">
        <f>+Tabla22456[[#Totals],[Servicios IUE 12.5%]]</f>
        <v>29.066540000000003</v>
      </c>
      <c r="D17" s="2"/>
      <c r="E17" s="33">
        <f>+Tabla22456[[#Totals],[Servicios IUE 12.5%]]</f>
        <v>29.066540000000003</v>
      </c>
      <c r="F17" t="s">
        <v>11</v>
      </c>
      <c r="G17" t="s">
        <v>29</v>
      </c>
    </row>
    <row r="18" spans="2:11" x14ac:dyDescent="0.25">
      <c r="B18" s="7" t="s">
        <v>10</v>
      </c>
      <c r="C18" s="2">
        <f>+Tabla22456[[#Totals],[Bienes IUE 5%]]</f>
        <v>0</v>
      </c>
      <c r="D18" s="2"/>
      <c r="E18" s="33">
        <f>+Tabla22456[[#Totals],[Bienes IUE 5%]]</f>
        <v>0</v>
      </c>
      <c r="F18" t="s">
        <v>11</v>
      </c>
    </row>
    <row r="19" spans="2:11" x14ac:dyDescent="0.25">
      <c r="B19" s="7" t="s">
        <v>23</v>
      </c>
      <c r="C19" s="4">
        <f>SUM(C17:C18)</f>
        <v>29.066540000000003</v>
      </c>
      <c r="D19" s="18"/>
      <c r="E19" s="33">
        <f>+E17+E18</f>
        <v>29.066540000000003</v>
      </c>
      <c r="F19" t="s">
        <v>18</v>
      </c>
    </row>
    <row r="20" spans="2:11" x14ac:dyDescent="0.25">
      <c r="C20" s="2"/>
      <c r="D20" s="2"/>
      <c r="E20" s="33"/>
    </row>
    <row r="21" spans="2:11" x14ac:dyDescent="0.25">
      <c r="B21" s="7" t="s">
        <v>24</v>
      </c>
      <c r="C21" s="4">
        <f>+Tabla22456[[#Totals],[Servicios IT 3%]]+Tabla22456[[#Totals],[Bienes IT 3%]]+Tabla22456[[#Totals],[Alquileres IT 3%]]</f>
        <v>6.9761999999999995</v>
      </c>
      <c r="D21" s="18"/>
      <c r="E21" s="33">
        <f>+Tabla22456[[#Totals],[Servicios IT 3%]]+Tabla22456[[#Totals],[Bienes IT 3%]]+Tabla22456[[#Totals],[Alquileres IT 3%]]</f>
        <v>6.9761999999999995</v>
      </c>
      <c r="F21" t="s">
        <v>12</v>
      </c>
    </row>
    <row r="22" spans="2:11" x14ac:dyDescent="0.25">
      <c r="C22" s="2"/>
      <c r="D22" s="2"/>
      <c r="E22" s="33"/>
    </row>
    <row r="23" spans="2:11" x14ac:dyDescent="0.25">
      <c r="B23" s="7" t="s">
        <v>25</v>
      </c>
      <c r="C23" s="4">
        <f>+Tabla22456[[#Totals],[Viáticos Retenc RC IVA]]+Tabla22456[[#Totals],[Alquileres RC-IVA 13%]]</f>
        <v>0</v>
      </c>
      <c r="D23" s="18"/>
      <c r="E23" s="33">
        <f>+Tabla22456[[#Totals],[Alquileres RC-IVA 13%]]</f>
        <v>0</v>
      </c>
      <c r="F23" t="s">
        <v>13</v>
      </c>
    </row>
    <row r="24" spans="2:11" x14ac:dyDescent="0.25">
      <c r="B24" s="2"/>
      <c r="K24" s="3"/>
    </row>
    <row r="25" spans="2:11" x14ac:dyDescent="0.25">
      <c r="C25" s="5">
        <f>+C23+C21+C19</f>
        <v>36.042740000000002</v>
      </c>
      <c r="D25" s="5"/>
    </row>
  </sheetData>
  <mergeCells count="3">
    <mergeCell ref="A3:P3"/>
    <mergeCell ref="A4:P4"/>
    <mergeCell ref="A5:P5"/>
  </mergeCells>
  <pageMargins left="0.39370078740157483" right="0.43307086614173229" top="0.74803149606299213" bottom="0.74803149606299213" header="0.31496062992125984" footer="0.31496062992125984"/>
  <pageSetup paperSize="9" scale="55" orientation="landscape" horizont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</vt:lpstr>
    </vt:vector>
  </TitlesOfParts>
  <Company>UVirtual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BOLIVIAIMPUESTOS.COM</dc:creator>
  <cp:lastModifiedBy>hp</cp:lastModifiedBy>
  <cp:lastPrinted>2019-02-15T22:45:44Z</cp:lastPrinted>
  <dcterms:created xsi:type="dcterms:W3CDTF">2012-02-14T15:10:19Z</dcterms:created>
  <dcterms:modified xsi:type="dcterms:W3CDTF">2020-06-04T00:43:09Z</dcterms:modified>
</cp:coreProperties>
</file>